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1080" yWindow="1380" windowWidth="19095" windowHeight="651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N72" i="1"/>
  <c r="M72"/>
  <c r="L72"/>
  <c r="K72"/>
  <c r="J72"/>
  <c r="I72"/>
  <c r="H72"/>
  <c r="M69"/>
  <c r="L69"/>
  <c r="K69"/>
  <c r="J69"/>
  <c r="I69"/>
  <c r="H69"/>
  <c r="N69" s="1"/>
  <c r="M67"/>
  <c r="L67"/>
  <c r="K67"/>
  <c r="J67"/>
  <c r="I67"/>
  <c r="H67"/>
  <c r="N67" s="1"/>
  <c r="M64"/>
  <c r="L64"/>
  <c r="K64"/>
  <c r="J64"/>
  <c r="N64" s="1"/>
  <c r="I64"/>
  <c r="H64"/>
  <c r="M62"/>
  <c r="L62"/>
  <c r="K62"/>
  <c r="J62"/>
  <c r="N62" s="1"/>
  <c r="I62"/>
  <c r="H62"/>
  <c r="M61"/>
  <c r="L61"/>
  <c r="K61"/>
  <c r="J61"/>
  <c r="I61"/>
  <c r="H61"/>
  <c r="N61" s="1"/>
  <c r="M60"/>
  <c r="L60"/>
  <c r="K60"/>
  <c r="J60"/>
  <c r="I60"/>
  <c r="H60"/>
  <c r="N60" s="1"/>
  <c r="M57"/>
  <c r="L57"/>
  <c r="K57"/>
  <c r="J57"/>
  <c r="N57" s="1"/>
  <c r="I57"/>
  <c r="H57"/>
  <c r="M56"/>
  <c r="L56"/>
  <c r="K56"/>
  <c r="J56"/>
  <c r="N56" s="1"/>
  <c r="I56"/>
  <c r="H56"/>
  <c r="M55"/>
  <c r="L55"/>
  <c r="K55"/>
  <c r="J55"/>
  <c r="I55"/>
  <c r="H55"/>
  <c r="N55" s="1"/>
  <c r="M52"/>
  <c r="L52"/>
  <c r="K52"/>
  <c r="J52"/>
  <c r="I52"/>
  <c r="H52"/>
  <c r="N52" s="1"/>
  <c r="M50"/>
  <c r="L50"/>
  <c r="K50"/>
  <c r="N50" s="1"/>
  <c r="J50"/>
  <c r="I50"/>
  <c r="H50"/>
  <c r="M49"/>
  <c r="L49"/>
  <c r="K49"/>
  <c r="J49"/>
  <c r="N49" s="1"/>
  <c r="I49"/>
  <c r="H49"/>
  <c r="M47"/>
  <c r="L47"/>
  <c r="K47"/>
  <c r="J47"/>
  <c r="I47"/>
  <c r="H47"/>
  <c r="N47" s="1"/>
  <c r="M45"/>
  <c r="L45"/>
  <c r="K45"/>
  <c r="J45"/>
  <c r="I45"/>
  <c r="H45"/>
  <c r="N45" s="1"/>
  <c r="M43"/>
  <c r="L43"/>
  <c r="K43"/>
  <c r="J43"/>
  <c r="N43" s="1"/>
  <c r="I43"/>
  <c r="H43"/>
  <c r="M42"/>
  <c r="L42"/>
  <c r="K42"/>
  <c r="J42"/>
  <c r="N42" s="1"/>
  <c r="I42"/>
  <c r="H42"/>
  <c r="M40"/>
  <c r="L40"/>
  <c r="K40"/>
  <c r="J40"/>
  <c r="I40"/>
  <c r="H40"/>
  <c r="N40" s="1"/>
  <c r="M39"/>
  <c r="L39"/>
  <c r="K39"/>
  <c r="J39"/>
  <c r="I39"/>
  <c r="H39"/>
  <c r="N39" s="1"/>
  <c r="M37"/>
  <c r="L37"/>
  <c r="K37"/>
  <c r="J37"/>
  <c r="N37" s="1"/>
  <c r="I37"/>
  <c r="H37"/>
  <c r="M35"/>
  <c r="L35"/>
  <c r="K35"/>
  <c r="J35"/>
  <c r="N35" s="1"/>
  <c r="I35"/>
  <c r="H35"/>
  <c r="M34"/>
  <c r="L34"/>
  <c r="K34"/>
  <c r="J34"/>
  <c r="I34"/>
  <c r="H34"/>
  <c r="N34" s="1"/>
  <c r="M32"/>
  <c r="L32"/>
  <c r="K32"/>
  <c r="J32"/>
  <c r="I32"/>
  <c r="H32"/>
  <c r="N32" s="1"/>
  <c r="M28"/>
  <c r="L28"/>
  <c r="K28"/>
  <c r="J28"/>
  <c r="N28" s="1"/>
  <c r="I28"/>
  <c r="H28"/>
  <c r="M26"/>
  <c r="L26"/>
  <c r="K26"/>
  <c r="J26"/>
  <c r="N26" s="1"/>
  <c r="I26"/>
  <c r="H26"/>
  <c r="M24"/>
  <c r="L24"/>
  <c r="K24"/>
  <c r="J24"/>
  <c r="I24"/>
  <c r="H24"/>
  <c r="N24" s="1"/>
  <c r="M21"/>
  <c r="L21"/>
  <c r="K21"/>
  <c r="J21"/>
  <c r="I21"/>
  <c r="H21"/>
  <c r="N21" s="1"/>
  <c r="M20"/>
  <c r="L20"/>
  <c r="K20"/>
  <c r="J20"/>
  <c r="N20" s="1"/>
  <c r="I20"/>
  <c r="H20"/>
  <c r="M19"/>
  <c r="L19"/>
  <c r="K19"/>
  <c r="J19"/>
  <c r="N19" s="1"/>
  <c r="I19"/>
  <c r="H19"/>
  <c r="M15"/>
  <c r="L15"/>
  <c r="K15"/>
  <c r="J15"/>
  <c r="I15"/>
  <c r="H15"/>
  <c r="N15" s="1"/>
  <c r="M12"/>
  <c r="L12"/>
  <c r="K12"/>
  <c r="J12"/>
  <c r="I12"/>
  <c r="H12"/>
  <c r="N12" s="1"/>
  <c r="M8"/>
  <c r="L8"/>
  <c r="K8"/>
  <c r="K73" s="1"/>
  <c r="J8"/>
  <c r="N8" s="1"/>
  <c r="I8"/>
  <c r="H8"/>
  <c r="M7"/>
  <c r="L7"/>
  <c r="K7"/>
  <c r="J7"/>
  <c r="J73" s="1"/>
  <c r="I7"/>
  <c r="H7"/>
  <c r="M6"/>
  <c r="M73" s="1"/>
  <c r="L6"/>
  <c r="L73" s="1"/>
  <c r="K6"/>
  <c r="J6"/>
  <c r="I6"/>
  <c r="I73" s="1"/>
  <c r="H6"/>
  <c r="H73" s="1"/>
  <c r="N7" l="1"/>
  <c r="N6"/>
  <c r="N73" l="1"/>
</calcChain>
</file>

<file path=xl/sharedStrings.xml><?xml version="1.0" encoding="utf-8"?>
<sst xmlns="http://schemas.openxmlformats.org/spreadsheetml/2006/main" count="192" uniqueCount="176">
  <si>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</si>
  <si>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</si>
  <si>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</si>
  <si>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</si>
  <si>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</si>
  <si>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</si>
  <si>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</si>
  <si>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</si>
  <si>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</si>
  <si>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</si>
  <si>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</si>
  <si>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</si>
  <si>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</si>
  <si>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</si>
  <si>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Степанова 33</t>
  </si>
  <si>
    <t>Дата изменения:</t>
  </si>
  <si>
    <t>23.03.2022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</si>
  <si>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</si>
  <si>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</si>
  <si>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</si>
  <si>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</si>
  <si>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</si>
  <si>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</si>
  <si>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</si>
  <si>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</si>
  <si>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1.1.7.4</t>
  </si>
  <si>
    <t>Замена выключателей</t>
  </si>
  <si>
    <t>1.1.7.5</t>
  </si>
  <si>
    <t>Замена патронов</t>
  </si>
  <si>
    <t>1.8</t>
  </si>
  <si>
    <t>Крыши и кровли</t>
  </si>
  <si>
    <t>1.8.1</t>
  </si>
  <si>
    <t>Устранение протечек кровли</t>
  </si>
  <si>
    <t>1.8.1.1</t>
  </si>
  <si>
    <t>Устранение  протечек кровли из штучных материалов</t>
  </si>
  <si>
    <t>1.8.1.1.3</t>
  </si>
  <si>
    <t>Смена поврежденных плиток (черепиц) черепичной кровли</t>
  </si>
  <si>
    <t>100 плиток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</si>
  <si>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</si>
  <si>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</si>
  <si>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</si>
  <si>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</si>
  <si>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1.9.1.19</t>
  </si>
  <si>
    <t>Смена замков накладных</t>
  </si>
  <si>
    <t>100 замков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</si>
  <si>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</si>
  <si>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</si>
  <si>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</si>
  <si>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</si>
  <si>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</si>
  <si>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</si>
  <si>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2.1.2.1.1</t>
  </si>
  <si>
    <t>Смена отдельных участков трубопроводов из стальных водогазопроводных неоцинкованных труб диаметром 15 мм</t>
  </si>
  <si>
    <t>100 м трубопровода</t>
  </si>
  <si>
    <t>2.1.2.1.2</t>
  </si>
  <si>
    <t>Смена отдельных участков трубопроводов из стальных водогазопроводных неоцинкованных труб диаметром 20 мм</t>
  </si>
  <si>
    <t>2.1.2.1.5</t>
  </si>
  <si>
    <t>Смена отдельных участков трубопроводов из стальных водогазопроводных неоцинкованных труб диаметром 40 мм</t>
  </si>
  <si>
    <t>2.1.8</t>
  </si>
  <si>
    <t>Ремонт  насосов,  магистральной запорной арматуры,  автоматических устройств</t>
  </si>
  <si>
    <t>2.1.8.6</t>
  </si>
  <si>
    <t>Смена кранов двойной регулировки</t>
  </si>
  <si>
    <t>2.1.8.6.1</t>
  </si>
  <si>
    <t>Смена кранов двойной регулировки диаметром прохода 15 мм</t>
  </si>
  <si>
    <t>100 кранов</t>
  </si>
  <si>
    <t>2.1.8.8</t>
  </si>
  <si>
    <t>Смена вентиля</t>
  </si>
  <si>
    <t>2.1.8.8.1</t>
  </si>
  <si>
    <t>Смена вентиля диаметром до 25 мм</t>
  </si>
  <si>
    <t>100 вентилей</t>
  </si>
  <si>
    <t>2.1.8.9</t>
  </si>
  <si>
    <t>Установка кранов для спуска воздуха из системы</t>
  </si>
  <si>
    <t>2.1.8.9.2</t>
  </si>
  <si>
    <t>Установка кранов для спуска воздуха из системы, диаметр крана 21-25 мм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</si>
  <si>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</si>
  <si>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</si>
  <si>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</si>
  <si>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</si>
  <si>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</si>
  <si>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</si>
  <si>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2.2.1.1.4</t>
  </si>
  <si>
    <t>Смена отдельных участков трубопроводов водоснабжения из стальных водогазопроводных оцинкованных труб диаметром 32 мм</t>
  </si>
  <si>
    <t>100 м трубопроводов</t>
  </si>
  <si>
    <t>2.2.1.5</t>
  </si>
  <si>
    <t>Замена внутренних водопроводов из стальных труб на металлопластиковые</t>
  </si>
  <si>
    <t>2.2.1.5.1</t>
  </si>
  <si>
    <t>Замена внутренних водопроводов из стальных труб   на металлопластиковые, диаметром 20 мм</t>
  </si>
  <si>
    <t>2.2.1.5.2</t>
  </si>
  <si>
    <t>Замена внутренних водопроводов из стальных труб   на металлопластиковые, диаметром 25 мм</t>
  </si>
  <si>
    <t>2.2.1.6</t>
  </si>
  <si>
    <t>Временная заделка свищей и трещин на внутренних трубопроводах и стояках</t>
  </si>
  <si>
    <t>2.2.1.6.1</t>
  </si>
  <si>
    <t>Временная заделка свищей и трещин на внутренних трубопроводах и стояках при диаметре трубопровода до 50 мм</t>
  </si>
  <si>
    <t>100 мест</t>
  </si>
  <si>
    <t>2.2.1.7</t>
  </si>
  <si>
    <t>Смена сгонов у трубопроводов</t>
  </si>
  <si>
    <t>2.2.1.7.1</t>
  </si>
  <si>
    <t>Смена сгонов у трубопроводов диаметром до 20 мм</t>
  </si>
  <si>
    <t>100 сгонов</t>
  </si>
  <si>
    <t>2.2.1.7.2</t>
  </si>
  <si>
    <t>Смена сгонов у трубопроводов диаметром до 32 мм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</si>
  <si>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</si>
  <si>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</si>
  <si>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</si>
  <si>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</si>
  <si>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</si>
  <si>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2.2.1.8.2</t>
  </si>
  <si>
    <t>Уплотнение сгонов с применением льняной пряди или асбестового шнура (без разборки сгонов) диаметром до 32 мм</t>
  </si>
  <si>
    <t>2.2.6</t>
  </si>
  <si>
    <t>Ремонт оборудования, приборов и арматуры водопроводной сети общего пользования</t>
  </si>
  <si>
    <t>2.2.6.2</t>
  </si>
  <si>
    <t>Смена вентилей и клапанов обратных муфтовых диаметром до 32 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</si>
  <si>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</si>
  <si>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</si>
  <si>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</si>
  <si>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</si>
  <si>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</si>
  <si>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2.3.10</t>
  </si>
  <si>
    <t>Прокладка внутренних трубопроводов канализации из полипропиленовых труб</t>
  </si>
  <si>
    <t>2.3.10.1</t>
  </si>
  <si>
    <t>Прокладка внутренних трубопроводов канализации из полипропиленовых труб диаметром 50 мм</t>
  </si>
  <si>
    <t>2.3.10.2</t>
  </si>
  <si>
    <t>Прокладка внутренних трубопроводов канализации из полипропиленовых труб диаметром 110 мм</t>
  </si>
  <si>
    <t>2.5</t>
  </si>
  <si>
    <t>Внутридомовое электро-, радио- и телеоборудование</t>
  </si>
  <si>
    <t>2.5.4</t>
  </si>
  <si>
    <t>Ремонт, замена  внутридомовых электрических сетей</t>
  </si>
  <si>
    <t>1000 пог.м.</t>
  </si>
  <si>
    <t>2.6</t>
  </si>
  <si>
    <t>Подготовка многоквартирного дома к сезонной эксплуатации, проведение технических осмотров</t>
  </si>
  <si>
    <t>2.6.13</t>
  </si>
  <si>
    <t>Проведение технических осмотров и устранение незначительных неисправностей в   электротехнических устройствах</t>
  </si>
  <si>
    <t>2.6.13.1</t>
  </si>
  <si>
    <t>Осмотр  электросети, арматуры, электрооборудования на лестничных клетках</t>
  </si>
  <si>
    <t>100 лестничных площадок</t>
  </si>
  <si>
    <t>2.6.13.3</t>
  </si>
  <si>
    <t>Проверка изоляции электропроводки и ее укрепление</t>
  </si>
  <si>
    <t>100 м</t>
  </si>
  <si>
    <t>2.6.13.5</t>
  </si>
  <si>
    <t>Замеры сопротивления изоляции проводов</t>
  </si>
  <si>
    <t xml:space="preserve">измерение 1         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</si>
  <si>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</si>
  <si>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</si>
  <si>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</si>
  <si>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</si>
  <si>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2.6.14.3.4</t>
  </si>
  <si>
    <t>Первое рабочее испытание отдельных частей системы при диаметре трубопровода до 100 мм</t>
  </si>
  <si>
    <t>2.6.14.3.5</t>
  </si>
  <si>
    <t>Рабочая проверка системы в целом при диаметре трубопровода до 100 мм</t>
  </si>
  <si>
    <t>2.6.14.3.6</t>
  </si>
  <si>
    <t>Окончательная проверка при сдаче системы при диаметре трубопровода до 100 мм</t>
  </si>
  <si>
    <t>2.6.14.4</t>
  </si>
  <si>
    <t>Промывка трубопроводов системы центрального отопления</t>
  </si>
  <si>
    <t>2.6.14.4.2</t>
  </si>
  <si>
    <t>Промывка трубопроводов системы центрального отопления до 100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</si>
  <si>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</si>
  <si>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</si>
  <si>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</si>
  <si>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</si>
  <si>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</si>
  <si>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</si>
  <si>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</si>
  <si>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</si>
  <si>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2.9</t>
  </si>
  <si>
    <t>Система мусороудаления</t>
  </si>
  <si>
    <t>2.9.2</t>
  </si>
  <si>
    <t>Замена отдельных элементов загрузочных клапанов</t>
  </si>
  <si>
    <t>1 клапан</t>
  </si>
  <si>
    <t>3.2</t>
  </si>
  <si>
    <t>Уборка земельного участка, входящего в состав общего имущества многоквартирного дома</t>
  </si>
  <si>
    <t>3.2.5</t>
  </si>
  <si>
    <t>Очистка и текущий ремонт детских и спортивных  площадок, элементов  благоустройства</t>
  </si>
  <si>
    <t>3.2.5.4</t>
  </si>
  <si>
    <t>Заполнение песочницы песком</t>
  </si>
  <si>
    <t>песочница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</si>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</sst>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3"/>
  <sheetViews>
    <sheetView tabSelected="1" workbookViewId="0">
      <pane ySplit="1" topLeftCell="A2" activePane="bottomLeft" state="frozen"/>
      <selection pane="bottomLeft" activeCell="H8" sqref="H8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1.75</v>
      </c>
      <c r="G6" s="24">
        <v>1</v>
      </c>
      <c r="H6" s="25">
        <f>F6 * G6 * 1717.8024</f>
        <v>3006.1541999999999</v>
      </c>
      <c r="I6" s="25">
        <f>F6 * G6 * 2684.13</f>
        <v>4697.2275</v>
      </c>
      <c r="J6" s="25">
        <f>F6 * G6 * 0</f>
        <v>0</v>
      </c>
      <c r="K6" s="25">
        <f>F6 * G6 * 1635.347885</f>
        <v>2861.85879875</v>
      </c>
      <c r="L6" s="25">
        <f>F6 * G6 * 673.178701</f>
        <v>1178.0627267500001</v>
      </c>
      <c r="M6" s="25">
        <f>F6 * G6 * 343.56048</f>
        <v>601.23083999999994</v>
      </c>
      <c r="N6" s="26">
        <f>SUM(H6:M6)</f>
        <v>12344.5340655</v>
      </c>
    </row>
    <row r="7" spans="1:14">
      <c r="B7" s="20">
        <v>2</v>
      </c>
      <c r="C7" s="21" t="s">
        <v>25</v>
      </c>
      <c r="D7" s="22" t="s">
        <v>26</v>
      </c>
      <c r="E7" s="22" t="s">
        <v>24</v>
      </c>
      <c r="F7" s="23">
        <v>0.06</v>
      </c>
      <c r="G7" s="24">
        <v>1</v>
      </c>
      <c r="H7" s="25">
        <f>F7 * G7 * 6204.4968</f>
        <v>372.26980799999995</v>
      </c>
      <c r="I7" s="25">
        <f>F7 * G7 * 3338.46</f>
        <v>200.30760000000001</v>
      </c>
      <c r="J7" s="25">
        <f>F7 * G7 * 0</f>
        <v>0</v>
      </c>
      <c r="K7" s="25">
        <f>F7 * G7 * 5906.68095399999</f>
        <v>354.40085723999943</v>
      </c>
      <c r="L7" s="25">
        <f>F7 * G7 * 1760.851666</f>
        <v>105.65109996</v>
      </c>
      <c r="M7" s="25">
        <f>F7 * G7 * 1240.89936</f>
        <v>74.453961599999985</v>
      </c>
      <c r="N7" s="26">
        <f>SUM(H7:M7)</f>
        <v>1107.0833267999994</v>
      </c>
    </row>
    <row r="8" spans="1:14">
      <c r="B8" s="20">
        <v>3</v>
      </c>
      <c r="C8" s="21" t="s">
        <v>27</v>
      </c>
      <c r="D8" s="22" t="s">
        <v>28</v>
      </c>
      <c r="E8" s="22" t="s">
        <v>24</v>
      </c>
      <c r="F8" s="23">
        <v>0.03</v>
      </c>
      <c r="G8" s="24">
        <v>1</v>
      </c>
      <c r="H8" s="25">
        <f>F8 * G8 * 8765.064</f>
        <v>262.95191999999997</v>
      </c>
      <c r="I8" s="25">
        <f>F8 * G8 * 3219.12</f>
        <v>96.573599999999999</v>
      </c>
      <c r="J8" s="25">
        <f>F8 * G8 * 0</f>
        <v>0</v>
      </c>
      <c r="K8" s="25">
        <f>F8 * G8 * 8344.340928</f>
        <v>250.33022783999999</v>
      </c>
      <c r="L8" s="25">
        <f>F8 * G8 * 2329.602231</f>
        <v>69.888066929999994</v>
      </c>
      <c r="M8" s="25">
        <f>F8 * G8 * 1753.0128</f>
        <v>52.590384</v>
      </c>
      <c r="N8" s="26">
        <f>SUM(H8:M8)</f>
        <v>732.33419876999994</v>
      </c>
    </row>
    <row r="9" spans="1:14" s="14" customFormat="1" ht="15">
      <c r="B9" s="15"/>
      <c r="C9" s="16" t="s">
        <v>29</v>
      </c>
      <c r="D9" s="33" t="s">
        <v>30</v>
      </c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17" customFormat="1" ht="12.75">
      <c r="B10" s="18"/>
      <c r="C10" s="19" t="s">
        <v>31</v>
      </c>
      <c r="D10" s="34" t="s">
        <v>32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4" s="17" customFormat="1" ht="12.75">
      <c r="B11" s="18"/>
      <c r="C11" s="19" t="s">
        <v>33</v>
      </c>
      <c r="D11" s="35" t="s">
        <v>34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>
      <c r="B12" s="20">
        <v>4</v>
      </c>
      <c r="C12" s="21" t="s">
        <v>35</v>
      </c>
      <c r="D12" s="22" t="s">
        <v>36</v>
      </c>
      <c r="E12" s="22" t="s">
        <v>37</v>
      </c>
      <c r="F12" s="23">
        <v>1.5</v>
      </c>
      <c r="G12" s="24">
        <v>1</v>
      </c>
      <c r="H12" s="25">
        <f>F12 * G12 * 4401.198</f>
        <v>6601.7970000000005</v>
      </c>
      <c r="I12" s="25">
        <f>F12 * G12 * 9731.89938</f>
        <v>14597.84907</v>
      </c>
      <c r="J12" s="25">
        <f>F12 * G12 * 0</f>
        <v>0</v>
      </c>
      <c r="K12" s="25">
        <f>F12 * G12 * 4189.940496</f>
        <v>6284.9107440000007</v>
      </c>
      <c r="L12" s="25">
        <f>F12 * G12 * 2025.945773</f>
        <v>3038.9186595000001</v>
      </c>
      <c r="M12" s="25">
        <f>F12 * G12 * 880.2396</f>
        <v>1320.3594000000001</v>
      </c>
      <c r="N12" s="26">
        <f>SUM(H12:M12)</f>
        <v>31843.834873500004</v>
      </c>
    </row>
    <row r="13" spans="1:14" s="14" customFormat="1" ht="15">
      <c r="B13" s="15"/>
      <c r="C13" s="16" t="s">
        <v>38</v>
      </c>
      <c r="D13" s="33" t="s">
        <v>39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4" s="17" customFormat="1" ht="12.75">
      <c r="B14" s="18"/>
      <c r="C14" s="19" t="s">
        <v>40</v>
      </c>
      <c r="D14" s="34" t="s">
        <v>41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>
      <c r="B15" s="20">
        <v>5</v>
      </c>
      <c r="C15" s="21" t="s">
        <v>42</v>
      </c>
      <c r="D15" s="22" t="s">
        <v>43</v>
      </c>
      <c r="E15" s="22" t="s">
        <v>44</v>
      </c>
      <c r="F15" s="23">
        <v>0.19</v>
      </c>
      <c r="G15" s="24">
        <v>1</v>
      </c>
      <c r="H15" s="25">
        <f>F15 * G15 * 25839.6192</f>
        <v>4909.5276480000002</v>
      </c>
      <c r="I15" s="25">
        <f>F15 * G15 * 53244.206856</f>
        <v>10116.39930264</v>
      </c>
      <c r="J15" s="25">
        <f>F15 * G15 * 0</f>
        <v>0</v>
      </c>
      <c r="K15" s="25">
        <f>F15 * G15 * 24599.3174779999</f>
        <v>4673.8703208199804</v>
      </c>
      <c r="L15" s="25">
        <f>F15 * G15 * 11483.787608</f>
        <v>2181.9196455199999</v>
      </c>
      <c r="M15" s="25">
        <f>F15 * G15 * 5167.92384</f>
        <v>981.90552960000014</v>
      </c>
      <c r="N15" s="26">
        <f>SUM(H15:M15)</f>
        <v>22863.622446579982</v>
      </c>
    </row>
    <row r="16" spans="1:14" s="14" customFormat="1" ht="15">
      <c r="B16" s="15"/>
      <c r="C16" s="16" t="s">
        <v>45</v>
      </c>
      <c r="D16" s="33" t="s">
        <v>46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2:14" s="17" customFormat="1" ht="12.75">
      <c r="B17" s="18"/>
      <c r="C17" s="19" t="s">
        <v>47</v>
      </c>
      <c r="D17" s="34" t="s">
        <v>48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2:14" s="17" customFormat="1" ht="12.75">
      <c r="B18" s="18"/>
      <c r="C18" s="19" t="s">
        <v>49</v>
      </c>
      <c r="D18" s="35" t="s">
        <v>50</v>
      </c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2:14" ht="38.25">
      <c r="B19" s="20">
        <v>6</v>
      </c>
      <c r="C19" s="21" t="s">
        <v>51</v>
      </c>
      <c r="D19" s="22" t="s">
        <v>52</v>
      </c>
      <c r="E19" s="22" t="s">
        <v>53</v>
      </c>
      <c r="F19" s="23">
        <v>0.15</v>
      </c>
      <c r="G19" s="24">
        <v>1</v>
      </c>
      <c r="H19" s="25">
        <f>F19 * G19 * 21019.178855</f>
        <v>3152.8768282499996</v>
      </c>
      <c r="I19" s="25">
        <f>F19 * G19 * 9007.831335</f>
        <v>1351.1747002500001</v>
      </c>
      <c r="J19" s="25">
        <f>F19 * G19 * 0</f>
        <v>0</v>
      </c>
      <c r="K19" s="25">
        <f>F19 * G19 * 20010.25827</f>
        <v>3001.5387404999997</v>
      </c>
      <c r="L19" s="25">
        <f>F19 * G19 * 5722.436496</f>
        <v>858.36547440000004</v>
      </c>
      <c r="M19" s="25">
        <f>F19 * G19 * 4203.835771</f>
        <v>630.57536564999998</v>
      </c>
      <c r="N19" s="26">
        <f>SUM(H19:M19)</f>
        <v>8994.5311090499999</v>
      </c>
    </row>
    <row r="20" spans="2:14" ht="38.25">
      <c r="B20" s="20">
        <v>7</v>
      </c>
      <c r="C20" s="21" t="s">
        <v>54</v>
      </c>
      <c r="D20" s="22" t="s">
        <v>55</v>
      </c>
      <c r="E20" s="22" t="s">
        <v>53</v>
      </c>
      <c r="F20" s="23">
        <v>0.18</v>
      </c>
      <c r="G20" s="24">
        <v>1</v>
      </c>
      <c r="H20" s="25">
        <f>F20 * G20 * 22070.1378</f>
        <v>3972.624804</v>
      </c>
      <c r="I20" s="25">
        <f>F20 * G20 * 10897.981095</f>
        <v>1961.6365970999998</v>
      </c>
      <c r="J20" s="25">
        <f>F20 * G20 * 0</f>
        <v>0</v>
      </c>
      <c r="K20" s="25">
        <f>F20 * G20 * 21010.7711859999</f>
        <v>3781.9388134799819</v>
      </c>
      <c r="L20" s="25">
        <f>F20 * G20 * 6160.452811</f>
        <v>1108.8815059799999</v>
      </c>
      <c r="M20" s="25">
        <f>F20 * G20 * 4414.02756</f>
        <v>794.52496080000003</v>
      </c>
      <c r="N20" s="26">
        <f>SUM(H20:M20)</f>
        <v>11619.606681359981</v>
      </c>
    </row>
    <row r="21" spans="2:14" ht="38.25">
      <c r="B21" s="20">
        <v>8</v>
      </c>
      <c r="C21" s="21" t="s">
        <v>56</v>
      </c>
      <c r="D21" s="22" t="s">
        <v>57</v>
      </c>
      <c r="E21" s="22" t="s">
        <v>53</v>
      </c>
      <c r="F21" s="23">
        <v>0.03</v>
      </c>
      <c r="G21" s="24">
        <v>1</v>
      </c>
      <c r="H21" s="25">
        <f>F21 * G21 * 27433.206</f>
        <v>822.99617999999987</v>
      </c>
      <c r="I21" s="25">
        <f>F21 * G21 * 28276.415867</f>
        <v>848.29247600999997</v>
      </c>
      <c r="J21" s="25">
        <f>F21 * G21 * 0</f>
        <v>0</v>
      </c>
      <c r="K21" s="25">
        <f>F21 * G21 * 26116.412112</f>
        <v>783.49236336000001</v>
      </c>
      <c r="L21" s="25">
        <f>F21 * G21 * 9211.487231</f>
        <v>276.34461692999997</v>
      </c>
      <c r="M21" s="25">
        <f>F21 * G21 * 5486.6412</f>
        <v>164.59923599999999</v>
      </c>
      <c r="N21" s="26">
        <f>SUM(H21:M21)</f>
        <v>2895.7248722999998</v>
      </c>
    </row>
    <row r="22" spans="2:14" s="17" customFormat="1" ht="12.75">
      <c r="B22" s="18"/>
      <c r="C22" s="19" t="s">
        <v>58</v>
      </c>
      <c r="D22" s="34" t="s">
        <v>59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2:14" s="17" customFormat="1" ht="12.75">
      <c r="B23" s="18"/>
      <c r="C23" s="19" t="s">
        <v>60</v>
      </c>
      <c r="D23" s="35" t="s">
        <v>61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2:14" ht="25.5">
      <c r="B24" s="20">
        <v>9</v>
      </c>
      <c r="C24" s="21" t="s">
        <v>62</v>
      </c>
      <c r="D24" s="22" t="s">
        <v>63</v>
      </c>
      <c r="E24" s="22" t="s">
        <v>64</v>
      </c>
      <c r="F24" s="23">
        <v>0.09</v>
      </c>
      <c r="G24" s="24">
        <v>1</v>
      </c>
      <c r="H24" s="25">
        <f>F24 * G24 * 18288.804</f>
        <v>1645.99236</v>
      </c>
      <c r="I24" s="25">
        <f>F24 * G24 * 19044.08637</f>
        <v>1713.9677733000001</v>
      </c>
      <c r="J24" s="25">
        <f>F24 * G24 * 0</f>
        <v>0</v>
      </c>
      <c r="K24" s="25">
        <f>F24 * G24 * 17410.941408</f>
        <v>1566.9847267199998</v>
      </c>
      <c r="L24" s="25">
        <f>F24 * G24 * 6161.368017</f>
        <v>554.52312152999991</v>
      </c>
      <c r="M24" s="25">
        <f>F24 * G24 * 3657.7608</f>
        <v>329.19847199999998</v>
      </c>
      <c r="N24" s="26">
        <f>SUM(H24:M24)</f>
        <v>5810.6664535499995</v>
      </c>
    </row>
    <row r="25" spans="2:14" s="17" customFormat="1" ht="12.75">
      <c r="B25" s="18"/>
      <c r="C25" s="19" t="s">
        <v>65</v>
      </c>
      <c r="D25" s="35" t="s">
        <v>66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2:14">
      <c r="B26" s="20">
        <v>10</v>
      </c>
      <c r="C26" s="21" t="s">
        <v>67</v>
      </c>
      <c r="D26" s="22" t="s">
        <v>68</v>
      </c>
      <c r="E26" s="22" t="s">
        <v>69</v>
      </c>
      <c r="F26" s="23">
        <v>0.28000000000000003</v>
      </c>
      <c r="G26" s="24">
        <v>1</v>
      </c>
      <c r="H26" s="25">
        <f>F26 * G26 * 14193.504</f>
        <v>3974.1811200000006</v>
      </c>
      <c r="I26" s="25">
        <f>F26 * G26 * 11401.039579</f>
        <v>3192.2910821200003</v>
      </c>
      <c r="J26" s="25">
        <f>F26 * G26 * 0</f>
        <v>0</v>
      </c>
      <c r="K26" s="25">
        <f>F26 * G26 * 13512.2158079999</f>
        <v>3783.4204262399726</v>
      </c>
      <c r="L26" s="25">
        <f>F26 * G26 * 4425.24605</f>
        <v>1239.068894</v>
      </c>
      <c r="M26" s="25">
        <f>F26 * G26 * 2838.7008</f>
        <v>794.83622400000013</v>
      </c>
      <c r="N26" s="26">
        <f>SUM(H26:M26)</f>
        <v>12983.797746359975</v>
      </c>
    </row>
    <row r="27" spans="2:14" s="17" customFormat="1" ht="12.75">
      <c r="B27" s="18"/>
      <c r="C27" s="19" t="s">
        <v>70</v>
      </c>
      <c r="D27" s="35" t="s">
        <v>71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2:14" ht="25.5">
      <c r="B28" s="20">
        <v>11</v>
      </c>
      <c r="C28" s="21" t="s">
        <v>72</v>
      </c>
      <c r="D28" s="22" t="s">
        <v>73</v>
      </c>
      <c r="E28" s="22" t="s">
        <v>64</v>
      </c>
      <c r="F28" s="23">
        <v>0.25</v>
      </c>
      <c r="G28" s="24">
        <v>1</v>
      </c>
      <c r="H28" s="25">
        <f>F28 * G28 * 32953.344</f>
        <v>8238.3359999999993</v>
      </c>
      <c r="I28" s="25">
        <f>F28 * G28 * 35450.134037</f>
        <v>8862.5335092500009</v>
      </c>
      <c r="J28" s="25">
        <f>F28 * G28 * 0</f>
        <v>0</v>
      </c>
      <c r="K28" s="25">
        <f>F28 * G28 * 31371.5834879999</f>
        <v>7842.8958719999746</v>
      </c>
      <c r="L28" s="25">
        <f>F28 * G28 * 11221.58455</f>
        <v>2805.3961374999999</v>
      </c>
      <c r="M28" s="25">
        <f>F28 * G28 * 6590.6688</f>
        <v>1647.6672000000001</v>
      </c>
      <c r="N28" s="26">
        <f>SUM(H28:M28)</f>
        <v>29396.828718749974</v>
      </c>
    </row>
    <row r="29" spans="2:14" s="14" customFormat="1" ht="15">
      <c r="B29" s="15"/>
      <c r="C29" s="16" t="s">
        <v>74</v>
      </c>
      <c r="D29" s="33" t="s">
        <v>75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2:14" s="17" customFormat="1" ht="12.75">
      <c r="B30" s="18"/>
      <c r="C30" s="19" t="s">
        <v>76</v>
      </c>
      <c r="D30" s="34" t="s">
        <v>77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2:14" s="17" customFormat="1" ht="12.75">
      <c r="B31" s="18"/>
      <c r="C31" s="19" t="s">
        <v>78</v>
      </c>
      <c r="D31" s="35" t="s">
        <v>79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2:14" ht="38.25">
      <c r="B32" s="20">
        <v>12</v>
      </c>
      <c r="C32" s="21" t="s">
        <v>80</v>
      </c>
      <c r="D32" s="22" t="s">
        <v>81</v>
      </c>
      <c r="E32" s="22" t="s">
        <v>82</v>
      </c>
      <c r="F32" s="23">
        <v>0.25</v>
      </c>
      <c r="G32" s="24">
        <v>1</v>
      </c>
      <c r="H32" s="25">
        <f>F32 * G32 * 28545.363</f>
        <v>7136.3407500000003</v>
      </c>
      <c r="I32" s="25">
        <f>F32 * G32 * 32786.421852</f>
        <v>8196.6054629999999</v>
      </c>
      <c r="J32" s="25">
        <f>F32 * G32 * 0</f>
        <v>0</v>
      </c>
      <c r="K32" s="25">
        <f>F32 * G32 * 27175.1855759999</f>
        <v>6793.7963939999754</v>
      </c>
      <c r="L32" s="25">
        <f>F32 * G32 * 9939.792539</f>
        <v>2484.94813475</v>
      </c>
      <c r="M32" s="25">
        <f>F32 * G32 * 5709.0726</f>
        <v>1427.2681500000001</v>
      </c>
      <c r="N32" s="26">
        <f>SUM(H32:M32)</f>
        <v>26038.958891749975</v>
      </c>
    </row>
    <row r="33" spans="2:14" s="17" customFormat="1" ht="12.75">
      <c r="B33" s="18"/>
      <c r="C33" s="19" t="s">
        <v>83</v>
      </c>
      <c r="D33" s="35" t="s">
        <v>84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</row>
    <row r="34" spans="2:14" ht="25.5">
      <c r="B34" s="20">
        <v>13</v>
      </c>
      <c r="C34" s="21" t="s">
        <v>85</v>
      </c>
      <c r="D34" s="22" t="s">
        <v>86</v>
      </c>
      <c r="E34" s="22" t="s">
        <v>82</v>
      </c>
      <c r="F34" s="23">
        <v>7.0000000000000007E-2</v>
      </c>
      <c r="G34" s="24">
        <v>1</v>
      </c>
      <c r="H34" s="25">
        <f>F34 * G34 * 37716.132</f>
        <v>2640.1292400000002</v>
      </c>
      <c r="I34" s="25">
        <f>F34 * G34 * 38056.982034</f>
        <v>2663.9887423800001</v>
      </c>
      <c r="J34" s="25">
        <f>F34 * G34 * 0</f>
        <v>0</v>
      </c>
      <c r="K34" s="25">
        <f>F34 * G34 * 35905.757664</f>
        <v>2513.4030364800001</v>
      </c>
      <c r="L34" s="25">
        <f>F34 * G34 * 12577.9313489999</f>
        <v>880.45519442999307</v>
      </c>
      <c r="M34" s="25">
        <f>F34 * G34 * 7543.2264</f>
        <v>528.025848</v>
      </c>
      <c r="N34" s="26">
        <f>SUM(H34:M34)</f>
        <v>9226.0020612899934</v>
      </c>
    </row>
    <row r="35" spans="2:14" ht="25.5">
      <c r="B35" s="20">
        <v>14</v>
      </c>
      <c r="C35" s="21" t="s">
        <v>87</v>
      </c>
      <c r="D35" s="22" t="s">
        <v>88</v>
      </c>
      <c r="E35" s="22" t="s">
        <v>82</v>
      </c>
      <c r="F35" s="23">
        <v>0.17</v>
      </c>
      <c r="G35" s="24">
        <v>1</v>
      </c>
      <c r="H35" s="25">
        <f>F35 * G35 * 37793.3664</f>
        <v>6424.8722880000005</v>
      </c>
      <c r="I35" s="25">
        <f>F35 * G35 * 54429.248874</f>
        <v>9252.9723085799997</v>
      </c>
      <c r="J35" s="25">
        <f>F35 * G35 * 0</f>
        <v>0</v>
      </c>
      <c r="K35" s="25">
        <f>F35 * G35 * 35979.284813</f>
        <v>6116.4784182100002</v>
      </c>
      <c r="L35" s="25">
        <f>F35 * G35 * 14322.74049</f>
        <v>2434.8658833000004</v>
      </c>
      <c r="M35" s="25">
        <f>F35 * G35 * 7558.67328</f>
        <v>1284.9744576000001</v>
      </c>
      <c r="N35" s="26">
        <f>SUM(H35:M35)</f>
        <v>25514.163355690001</v>
      </c>
    </row>
    <row r="36" spans="2:14" s="17" customFormat="1" ht="12.75">
      <c r="B36" s="18"/>
      <c r="C36" s="19" t="s">
        <v>89</v>
      </c>
      <c r="D36" s="35" t="s">
        <v>90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2:14" ht="38.25">
      <c r="B37" s="20">
        <v>15</v>
      </c>
      <c r="C37" s="21" t="s">
        <v>91</v>
      </c>
      <c r="D37" s="22" t="s">
        <v>92</v>
      </c>
      <c r="E37" s="22" t="s">
        <v>93</v>
      </c>
      <c r="F37" s="23">
        <v>0.18</v>
      </c>
      <c r="G37" s="24">
        <v>1</v>
      </c>
      <c r="H37" s="25">
        <f>F37 * G37 * 8951.928</f>
        <v>1611.3470399999999</v>
      </c>
      <c r="I37" s="25">
        <f>F37 * G37 * 32848.688063</f>
        <v>5912.7638513399997</v>
      </c>
      <c r="J37" s="25">
        <f>F37 * G37 * 0</f>
        <v>0</v>
      </c>
      <c r="K37" s="25">
        <f>F37 * G37 * 8522.235456</f>
        <v>1534.00238208</v>
      </c>
      <c r="L37" s="25">
        <f>F37 * G37 * 5497.946516</f>
        <v>989.63037287999998</v>
      </c>
      <c r="M37" s="25">
        <f>F37 * G37 * 1790.3856</f>
        <v>322.269408</v>
      </c>
      <c r="N37" s="26">
        <f>SUM(H37:M37)</f>
        <v>10370.0130543</v>
      </c>
    </row>
    <row r="38" spans="2:14" s="17" customFormat="1" ht="12.75">
      <c r="B38" s="18"/>
      <c r="C38" s="19" t="s">
        <v>94</v>
      </c>
      <c r="D38" s="35" t="s">
        <v>95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2:14">
      <c r="B39" s="20">
        <v>16</v>
      </c>
      <c r="C39" s="21" t="s">
        <v>96</v>
      </c>
      <c r="D39" s="22" t="s">
        <v>97</v>
      </c>
      <c r="E39" s="22" t="s">
        <v>98</v>
      </c>
      <c r="F39" s="23">
        <v>0.14000000000000001</v>
      </c>
      <c r="G39" s="24">
        <v>1</v>
      </c>
      <c r="H39" s="25">
        <f>F39 * G39 * 7833.7224</f>
        <v>1096.7211360000001</v>
      </c>
      <c r="I39" s="25">
        <f>F39 * G39 * 4906.963041</f>
        <v>686.97482574000003</v>
      </c>
      <c r="J39" s="25">
        <f>F39 * G39 * 0</f>
        <v>0</v>
      </c>
      <c r="K39" s="25">
        <f>F39 * G39 * 7457.703725</f>
        <v>1044.0785215000001</v>
      </c>
      <c r="L39" s="25">
        <f>F39 * G39 * 2296.221599</f>
        <v>321.47102386</v>
      </c>
      <c r="M39" s="25">
        <f>F39 * G39 * 1566.74448</f>
        <v>219.34422720000003</v>
      </c>
      <c r="N39" s="26">
        <f>SUM(H39:M39)</f>
        <v>3368.5897343000006</v>
      </c>
    </row>
    <row r="40" spans="2:14">
      <c r="B40" s="20">
        <v>17</v>
      </c>
      <c r="C40" s="21" t="s">
        <v>99</v>
      </c>
      <c r="D40" s="22" t="s">
        <v>100</v>
      </c>
      <c r="E40" s="22" t="s">
        <v>98</v>
      </c>
      <c r="F40" s="23">
        <v>0.21</v>
      </c>
      <c r="G40" s="24">
        <v>1</v>
      </c>
      <c r="H40" s="25">
        <f>F40 * G40 * 11354.8032</f>
        <v>2384.5086719999999</v>
      </c>
      <c r="I40" s="25">
        <f>F40 * G40 * 10639.970407</f>
        <v>2234.3937854700002</v>
      </c>
      <c r="J40" s="25">
        <f>F40 * G40 * 0</f>
        <v>0</v>
      </c>
      <c r="K40" s="25">
        <f>F40 * G40 * 10809.772646</f>
        <v>2270.0522556599999</v>
      </c>
      <c r="L40" s="25">
        <f>F40 * G40 * 3700.465977</f>
        <v>777.09785516999989</v>
      </c>
      <c r="M40" s="25">
        <f>F40 * G40 * 2270.96064</f>
        <v>476.90173439999995</v>
      </c>
      <c r="N40" s="26">
        <f>SUM(H40:M40)</f>
        <v>8142.9543027</v>
      </c>
    </row>
    <row r="41" spans="2:14" s="17" customFormat="1" ht="12.75">
      <c r="B41" s="18"/>
      <c r="C41" s="19" t="s">
        <v>101</v>
      </c>
      <c r="D41" s="35" t="s">
        <v>102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</row>
    <row r="42" spans="2:14" ht="38.25">
      <c r="B42" s="20">
        <v>18</v>
      </c>
      <c r="C42" s="21" t="s">
        <v>103</v>
      </c>
      <c r="D42" s="22" t="s">
        <v>104</v>
      </c>
      <c r="E42" s="22" t="s">
        <v>105</v>
      </c>
      <c r="F42" s="23">
        <v>14</v>
      </c>
      <c r="G42" s="24">
        <v>1</v>
      </c>
      <c r="H42" s="25">
        <f>F42 * G42 * 31.45272</f>
        <v>440.33807999999999</v>
      </c>
      <c r="I42" s="25">
        <f>F42 * G42 * 3.168864</f>
        <v>44.364096000000004</v>
      </c>
      <c r="J42" s="25">
        <f>F42 * G42 * 0</f>
        <v>0</v>
      </c>
      <c r="K42" s="25">
        <f>F42 * G42 * 29.942989</f>
        <v>419.20184599999999</v>
      </c>
      <c r="L42" s="25">
        <f>F42 * G42 * 7.47521499999999</f>
        <v>104.65300999999985</v>
      </c>
      <c r="M42" s="25">
        <f>F42 * G42 * 6.290544</f>
        <v>88.067616000000001</v>
      </c>
      <c r="N42" s="26">
        <f>SUM(H42:M42)</f>
        <v>1096.6246479999998</v>
      </c>
    </row>
    <row r="43" spans="2:14" ht="38.25">
      <c r="B43" s="20">
        <v>19</v>
      </c>
      <c r="C43" s="21" t="s">
        <v>106</v>
      </c>
      <c r="D43" s="22" t="s">
        <v>107</v>
      </c>
      <c r="E43" s="22" t="s">
        <v>105</v>
      </c>
      <c r="F43" s="23">
        <v>21</v>
      </c>
      <c r="G43" s="24">
        <v>1</v>
      </c>
      <c r="H43" s="25">
        <f>F43 * G43 * 31.45272</f>
        <v>660.50711999999999</v>
      </c>
      <c r="I43" s="25">
        <f>F43 * G43 * 6.521409</f>
        <v>136.949589</v>
      </c>
      <c r="J43" s="25">
        <f>F43 * G43 * 0</f>
        <v>0</v>
      </c>
      <c r="K43" s="25">
        <f>F43 * G43 * 29.942989</f>
        <v>628.80276900000001</v>
      </c>
      <c r="L43" s="25">
        <f>F43 * G43 * 7.828908</f>
        <v>164.40706800000001</v>
      </c>
      <c r="M43" s="25">
        <f>F43 * G43 * 6.290544</f>
        <v>132.10142399999998</v>
      </c>
      <c r="N43" s="26">
        <f>SUM(H43:M43)</f>
        <v>1722.7679699999999</v>
      </c>
    </row>
    <row r="44" spans="2:14" s="17" customFormat="1" ht="12.75">
      <c r="B44" s="18"/>
      <c r="C44" s="19" t="s">
        <v>108</v>
      </c>
      <c r="D44" s="34" t="s">
        <v>109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</row>
    <row r="45" spans="2:14" ht="25.5">
      <c r="B45" s="20">
        <v>20</v>
      </c>
      <c r="C45" s="21" t="s">
        <v>110</v>
      </c>
      <c r="D45" s="22" t="s">
        <v>111</v>
      </c>
      <c r="E45" s="22" t="s">
        <v>24</v>
      </c>
      <c r="F45" s="23">
        <v>0.68</v>
      </c>
      <c r="G45" s="24">
        <v>1</v>
      </c>
      <c r="H45" s="25">
        <f>F45 * G45 * 26517.144</f>
        <v>18031.657920000001</v>
      </c>
      <c r="I45" s="25">
        <f>F45 * G45 * 32076.049298</f>
        <v>21811.713522640002</v>
      </c>
      <c r="J45" s="25">
        <f>F45 * G45 * 0</f>
        <v>0</v>
      </c>
      <c r="K45" s="25">
        <f>F45 * G45 * 25244.321088</f>
        <v>17166.138339840003</v>
      </c>
      <c r="L45" s="25">
        <f>F45 * G45 * 9404.369506</f>
        <v>6394.9712640799999</v>
      </c>
      <c r="M45" s="25">
        <f>F45 * G45 * 5303.4288</f>
        <v>3606.331584</v>
      </c>
      <c r="N45" s="26">
        <f>SUM(H45:M45)</f>
        <v>67010.812630560002</v>
      </c>
    </row>
    <row r="46" spans="2:14" s="14" customFormat="1" ht="15">
      <c r="B46" s="15"/>
      <c r="C46" s="16" t="s">
        <v>112</v>
      </c>
      <c r="D46" s="33" t="s">
        <v>113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</row>
    <row r="47" spans="2:14" ht="25.5">
      <c r="B47" s="20">
        <v>21</v>
      </c>
      <c r="C47" s="21" t="s">
        <v>114</v>
      </c>
      <c r="D47" s="22" t="s">
        <v>115</v>
      </c>
      <c r="E47" s="22" t="s">
        <v>116</v>
      </c>
      <c r="F47" s="23">
        <v>0.45</v>
      </c>
      <c r="G47" s="24">
        <v>1</v>
      </c>
      <c r="H47" s="25">
        <f>F47 * G47 * 2443.6344</f>
        <v>1099.6354799999999</v>
      </c>
      <c r="I47" s="25">
        <f>F47 * G47 * 600.324723</f>
        <v>270.14612534999998</v>
      </c>
      <c r="J47" s="25">
        <f>F47 * G47 * 0</f>
        <v>0</v>
      </c>
      <c r="K47" s="25">
        <f>F47 * G47 * 2326.339949</f>
        <v>1046.8529770500002</v>
      </c>
      <c r="L47" s="25">
        <f>F47 * G47 * 618.127237999999</f>
        <v>278.15725709999958</v>
      </c>
      <c r="M47" s="25">
        <f>F47 * G47 * 488.72688</f>
        <v>219.92709600000001</v>
      </c>
      <c r="N47" s="26">
        <f>SUM(H47:M47)</f>
        <v>2914.7189354999996</v>
      </c>
    </row>
    <row r="48" spans="2:14" s="17" customFormat="1" ht="12.75">
      <c r="B48" s="18"/>
      <c r="C48" s="19" t="s">
        <v>117</v>
      </c>
      <c r="D48" s="34" t="s">
        <v>118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ht="25.5">
      <c r="B49" s="20">
        <v>22</v>
      </c>
      <c r="C49" s="21" t="s">
        <v>119</v>
      </c>
      <c r="D49" s="22" t="s">
        <v>120</v>
      </c>
      <c r="E49" s="22" t="s">
        <v>53</v>
      </c>
      <c r="F49" s="23">
        <v>0.33</v>
      </c>
      <c r="G49" s="24">
        <v>1</v>
      </c>
      <c r="H49" s="25">
        <f>F49 * G49 * 15983.683968</f>
        <v>5274.6157094399996</v>
      </c>
      <c r="I49" s="25">
        <f>F49 * G49 * 5885.785638</f>
        <v>1942.3092605400002</v>
      </c>
      <c r="J49" s="25">
        <f>F49 * G49 * 2.016014</f>
        <v>0.6652846200000001</v>
      </c>
      <c r="K49" s="25">
        <f>F49 * G49 * 15216.467137</f>
        <v>5021.4341552100004</v>
      </c>
      <c r="L49" s="25">
        <f>F49 * G49 * 4250.034748</f>
        <v>1402.5114668400001</v>
      </c>
      <c r="M49" s="25">
        <f>F49 * G49 * 3196.736794</f>
        <v>1054.9231420200001</v>
      </c>
      <c r="N49" s="26">
        <f>SUM(H49:M49)</f>
        <v>14696.459018670001</v>
      </c>
    </row>
    <row r="50" spans="2:14" ht="25.5">
      <c r="B50" s="20">
        <v>23</v>
      </c>
      <c r="C50" s="21" t="s">
        <v>121</v>
      </c>
      <c r="D50" s="22" t="s">
        <v>122</v>
      </c>
      <c r="E50" s="22" t="s">
        <v>53</v>
      </c>
      <c r="F50" s="23">
        <v>0.34</v>
      </c>
      <c r="G50" s="24">
        <v>1</v>
      </c>
      <c r="H50" s="25">
        <f>F50 * G50 * 14892.674832</f>
        <v>5063.5094428800003</v>
      </c>
      <c r="I50" s="25">
        <f>F50 * G50 * 24214.966772</f>
        <v>8233.0887024800013</v>
      </c>
      <c r="J50" s="25">
        <f>F50 * G50 * 1.114113</f>
        <v>0.37879841999999997</v>
      </c>
      <c r="K50" s="25">
        <f>F50 * G50 * 14177.82644</f>
        <v>4820.4609896000002</v>
      </c>
      <c r="L50" s="25">
        <f>F50 * G50 * 5935.969857</f>
        <v>2018.2297513800002</v>
      </c>
      <c r="M50" s="25">
        <f>F50 * G50 * 2978.534966</f>
        <v>1012.7018884400002</v>
      </c>
      <c r="N50" s="26">
        <f>SUM(H50:M50)</f>
        <v>21148.369573200001</v>
      </c>
    </row>
    <row r="51" spans="2:14" s="14" customFormat="1" ht="15">
      <c r="B51" s="15"/>
      <c r="C51" s="16" t="s">
        <v>123</v>
      </c>
      <c r="D51" s="33" t="s">
        <v>124</v>
      </c>
      <c r="E51" s="33"/>
      <c r="F51" s="33"/>
      <c r="G51" s="33"/>
      <c r="H51" s="33"/>
      <c r="I51" s="33"/>
      <c r="J51" s="33"/>
      <c r="K51" s="33"/>
      <c r="L51" s="33"/>
      <c r="M51" s="33"/>
      <c r="N51" s="33"/>
    </row>
    <row r="52" spans="2:14">
      <c r="B52" s="20">
        <v>24</v>
      </c>
      <c r="C52" s="21" t="s">
        <v>125</v>
      </c>
      <c r="D52" s="22" t="s">
        <v>126</v>
      </c>
      <c r="E52" s="22" t="s">
        <v>127</v>
      </c>
      <c r="F52" s="23">
        <v>0.02</v>
      </c>
      <c r="G52" s="24">
        <v>1</v>
      </c>
      <c r="H52" s="25">
        <f>F52 * G52 * 48388.8</f>
        <v>967.77600000000007</v>
      </c>
      <c r="I52" s="25">
        <f>F52 * G52 * 59115.7592339999</f>
        <v>1182.3151846799999</v>
      </c>
      <c r="J52" s="25">
        <f>F52 * G52 * 0</f>
        <v>0</v>
      </c>
      <c r="K52" s="25">
        <f>F52 * G52 * 46066.1376</f>
        <v>921.32275200000004</v>
      </c>
      <c r="L52" s="25">
        <f>F52 * G52 * 17222.712196</f>
        <v>344.45424392000001</v>
      </c>
      <c r="M52" s="25">
        <f>F52 * G52 * 9677.76</f>
        <v>193.55520000000001</v>
      </c>
      <c r="N52" s="26">
        <f>SUM(H52:M52)</f>
        <v>3609.4233806000002</v>
      </c>
    </row>
    <row r="53" spans="2:14" s="14" customFormat="1" ht="15">
      <c r="B53" s="15"/>
      <c r="C53" s="16" t="s">
        <v>128</v>
      </c>
      <c r="D53" s="33" t="s">
        <v>129</v>
      </c>
      <c r="E53" s="33"/>
      <c r="F53" s="33"/>
      <c r="G53" s="33"/>
      <c r="H53" s="33"/>
      <c r="I53" s="33"/>
      <c r="J53" s="33"/>
      <c r="K53" s="33"/>
      <c r="L53" s="33"/>
      <c r="M53" s="33"/>
      <c r="N53" s="33"/>
    </row>
    <row r="54" spans="2:14" s="17" customFormat="1" ht="12.75">
      <c r="B54" s="18"/>
      <c r="C54" s="19" t="s">
        <v>130</v>
      </c>
      <c r="D54" s="34" t="s">
        <v>131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2:14" ht="25.5">
      <c r="B55" s="20">
        <v>25</v>
      </c>
      <c r="C55" s="21" t="s">
        <v>132</v>
      </c>
      <c r="D55" s="22" t="s">
        <v>133</v>
      </c>
      <c r="E55" s="22" t="s">
        <v>134</v>
      </c>
      <c r="F55" s="23">
        <v>0.1</v>
      </c>
      <c r="G55" s="24">
        <v>1</v>
      </c>
      <c r="H55" s="25">
        <f>F55 * G55 * 2456.568</f>
        <v>245.65680000000003</v>
      </c>
      <c r="I55" s="25">
        <f>F55 * G55 * 0</f>
        <v>0</v>
      </c>
      <c r="J55" s="25">
        <f>F55 * G55 * 0</f>
        <v>0</v>
      </c>
      <c r="K55" s="25">
        <f>F55 * G55 * 2338.652736</f>
        <v>233.86527360000002</v>
      </c>
      <c r="L55" s="25">
        <f>F55 * G55 * 557.729373</f>
        <v>55.772937300000002</v>
      </c>
      <c r="M55" s="25">
        <f>F55 * G55 * 491.3136</f>
        <v>49.131360000000001</v>
      </c>
      <c r="N55" s="26">
        <f>SUM(H55:M55)</f>
        <v>584.42637090000005</v>
      </c>
    </row>
    <row r="56" spans="2:14">
      <c r="B56" s="20">
        <v>26</v>
      </c>
      <c r="C56" s="21" t="s">
        <v>135</v>
      </c>
      <c r="D56" s="22" t="s">
        <v>136</v>
      </c>
      <c r="E56" s="22" t="s">
        <v>137</v>
      </c>
      <c r="F56" s="23">
        <v>0.1</v>
      </c>
      <c r="G56" s="24">
        <v>1</v>
      </c>
      <c r="H56" s="25">
        <f>F56 * G56 * 1209.72</f>
        <v>120.97200000000001</v>
      </c>
      <c r="I56" s="25">
        <f>F56 * G56 * 467.95968</f>
        <v>46.795968000000002</v>
      </c>
      <c r="J56" s="25">
        <f>F56 * G56 * 0</f>
        <v>0</v>
      </c>
      <c r="K56" s="25">
        <f>F56 * G56 * 1151.65344</f>
        <v>115.165344</v>
      </c>
      <c r="L56" s="25">
        <f>F56 * G56 * 324.019736999999</f>
        <v>32.4019736999999</v>
      </c>
      <c r="M56" s="25">
        <f>F56 * G56 * 241.944</f>
        <v>24.194400000000002</v>
      </c>
      <c r="N56" s="26">
        <f>SUM(H56:M56)</f>
        <v>339.52968569999985</v>
      </c>
    </row>
    <row r="57" spans="2:14">
      <c r="B57" s="20">
        <v>27</v>
      </c>
      <c r="C57" s="21" t="s">
        <v>138</v>
      </c>
      <c r="D57" s="22" t="s">
        <v>139</v>
      </c>
      <c r="E57" s="22" t="s">
        <v>140</v>
      </c>
      <c r="F57" s="23">
        <v>2</v>
      </c>
      <c r="G57" s="24">
        <v>1</v>
      </c>
      <c r="H57" s="25">
        <f>F57 * G57 * 69.147839</f>
        <v>138.29567800000001</v>
      </c>
      <c r="I57" s="25">
        <f>F57 * G57 * 0</f>
        <v>0</v>
      </c>
      <c r="J57" s="25">
        <f>F57 * G57 * 0</f>
        <v>0</v>
      </c>
      <c r="K57" s="25">
        <f>F57 * G57 * 65.828742</f>
        <v>131.65748400000001</v>
      </c>
      <c r="L57" s="25">
        <f>F57 * G57 * 15.699049</f>
        <v>31.398098000000001</v>
      </c>
      <c r="M57" s="25">
        <f>F57 * G57 * 13.829568</f>
        <v>27.659136</v>
      </c>
      <c r="N57" s="26">
        <f>SUM(H57:M57)</f>
        <v>329.01039600000001</v>
      </c>
    </row>
    <row r="58" spans="2:14" s="17" customFormat="1" ht="12.75">
      <c r="B58" s="18"/>
      <c r="C58" s="19" t="s">
        <v>141</v>
      </c>
      <c r="D58" s="34" t="s">
        <v>142</v>
      </c>
      <c r="E58" s="34"/>
      <c r="F58" s="34"/>
      <c r="G58" s="34"/>
      <c r="H58" s="34"/>
      <c r="I58" s="34"/>
      <c r="J58" s="34"/>
      <c r="K58" s="34"/>
      <c r="L58" s="34"/>
      <c r="M58" s="34"/>
      <c r="N58" s="34"/>
    </row>
    <row r="59" spans="2:14" s="17" customFormat="1" ht="12.75">
      <c r="B59" s="18"/>
      <c r="C59" s="19" t="s">
        <v>143</v>
      </c>
      <c r="D59" s="35" t="s">
        <v>144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2:14" ht="25.5">
      <c r="B60" s="20">
        <v>28</v>
      </c>
      <c r="C60" s="21" t="s">
        <v>145</v>
      </c>
      <c r="D60" s="22" t="s">
        <v>146</v>
      </c>
      <c r="E60" s="22" t="s">
        <v>53</v>
      </c>
      <c r="F60" s="23">
        <v>85</v>
      </c>
      <c r="G60" s="24">
        <v>1</v>
      </c>
      <c r="H60" s="25">
        <f>F60 * G60 * 1015.41</f>
        <v>86309.849999999991</v>
      </c>
      <c r="I60" s="25">
        <f>F60 * G60 * 0</f>
        <v>0</v>
      </c>
      <c r="J60" s="25">
        <f>F60 * G60 * 68.046825</f>
        <v>5783.980125</v>
      </c>
      <c r="K60" s="25">
        <f>F60 * G60 * 966.67032</f>
        <v>82166.977199999994</v>
      </c>
      <c r="L60" s="25">
        <f>F60 * G60 * 237.713565</f>
        <v>20205.653025</v>
      </c>
      <c r="M60" s="25">
        <f>F60 * G60 * 203.082</f>
        <v>17261.97</v>
      </c>
      <c r="N60" s="26">
        <f>SUM(H60:M60)</f>
        <v>211728.43035000001</v>
      </c>
    </row>
    <row r="61" spans="2:14" ht="25.5">
      <c r="B61" s="20">
        <v>29</v>
      </c>
      <c r="C61" s="21" t="s">
        <v>147</v>
      </c>
      <c r="D61" s="22" t="s">
        <v>148</v>
      </c>
      <c r="E61" s="22" t="s">
        <v>53</v>
      </c>
      <c r="F61" s="23">
        <v>85</v>
      </c>
      <c r="G61" s="24">
        <v>1</v>
      </c>
      <c r="H61" s="25">
        <f>F61 * G61 * 950.793</f>
        <v>80817.404999999999</v>
      </c>
      <c r="I61" s="25">
        <f>F61 * G61 * 7.170829</f>
        <v>609.52046500000006</v>
      </c>
      <c r="J61" s="25">
        <f>F61 * G61 * 0</f>
        <v>0</v>
      </c>
      <c r="K61" s="25">
        <f>F61 * G61 * 905.154935999999</f>
        <v>76938.169559999922</v>
      </c>
      <c r="L61" s="25">
        <f>F61 * G61 * 216.620762</f>
        <v>18412.764770000002</v>
      </c>
      <c r="M61" s="25">
        <f>F61 * G61 * 190.1586</f>
        <v>16163.481</v>
      </c>
      <c r="N61" s="26">
        <f>SUM(H61:M61)</f>
        <v>192941.34079499994</v>
      </c>
    </row>
    <row r="62" spans="2:14" ht="25.5">
      <c r="B62" s="20">
        <v>30</v>
      </c>
      <c r="C62" s="21" t="s">
        <v>149</v>
      </c>
      <c r="D62" s="22" t="s">
        <v>150</v>
      </c>
      <c r="E62" s="22" t="s">
        <v>53</v>
      </c>
      <c r="F62" s="23">
        <v>85</v>
      </c>
      <c r="G62" s="24">
        <v>1</v>
      </c>
      <c r="H62" s="25">
        <f>F62 * G62 * 396.933</f>
        <v>33739.305</v>
      </c>
      <c r="I62" s="25">
        <f>F62 * G62 * 0</f>
        <v>0</v>
      </c>
      <c r="J62" s="25">
        <f>F62 * G62 * 68.046825</f>
        <v>5783.980125</v>
      </c>
      <c r="K62" s="25">
        <f>F62 * G62 * 377.880215999999</f>
        <v>32119.818359999914</v>
      </c>
      <c r="L62" s="25">
        <f>F62 * G62 * 97.29702</f>
        <v>8270.2466999999997</v>
      </c>
      <c r="M62" s="25">
        <f>F62 * G62 * 79.3866</f>
        <v>6747.8609999999999</v>
      </c>
      <c r="N62" s="26">
        <f>SUM(H62:M62)</f>
        <v>86661.21118499992</v>
      </c>
    </row>
    <row r="63" spans="2:14" s="17" customFormat="1" ht="12.75">
      <c r="B63" s="18"/>
      <c r="C63" s="19" t="s">
        <v>151</v>
      </c>
      <c r="D63" s="35" t="s">
        <v>152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</row>
    <row r="64" spans="2:14" ht="25.5">
      <c r="B64" s="20">
        <v>31</v>
      </c>
      <c r="C64" s="21" t="s">
        <v>153</v>
      </c>
      <c r="D64" s="22" t="s">
        <v>154</v>
      </c>
      <c r="E64" s="22" t="s">
        <v>155</v>
      </c>
      <c r="F64" s="23">
        <v>850</v>
      </c>
      <c r="G64" s="24">
        <v>1</v>
      </c>
      <c r="H64" s="25">
        <f>F64 * G64 * 223.97976</f>
        <v>190382.796</v>
      </c>
      <c r="I64" s="25">
        <f>F64 * G64 * 0</f>
        <v>0</v>
      </c>
      <c r="J64" s="25">
        <f>F64 * G64 * 0</f>
        <v>0</v>
      </c>
      <c r="K64" s="25">
        <f>F64 * G64 * 213.228732</f>
        <v>181244.4222</v>
      </c>
      <c r="L64" s="25">
        <f>F64 * G64 * 50.8514689999999</f>
        <v>43223.748649999914</v>
      </c>
      <c r="M64" s="25">
        <f>F64 * G64 * 44.795952</f>
        <v>38076.559200000003</v>
      </c>
      <c r="N64" s="26">
        <f>SUM(H64:M64)</f>
        <v>452927.52604999993</v>
      </c>
    </row>
    <row r="65" spans="2:14" s="17" customFormat="1" ht="12.75">
      <c r="B65" s="18"/>
      <c r="C65" s="19" t="s">
        <v>156</v>
      </c>
      <c r="D65" s="35" t="s">
        <v>157</v>
      </c>
      <c r="E65" s="35"/>
      <c r="F65" s="35"/>
      <c r="G65" s="35"/>
      <c r="H65" s="35"/>
      <c r="I65" s="35"/>
      <c r="J65" s="35"/>
      <c r="K65" s="35"/>
      <c r="L65" s="35"/>
      <c r="M65" s="35"/>
      <c r="N65" s="35"/>
    </row>
    <row r="66" spans="2:14" s="17" customFormat="1" ht="12.75">
      <c r="B66" s="18"/>
      <c r="C66" s="19" t="s">
        <v>158</v>
      </c>
      <c r="D66" s="36" t="s">
        <v>159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</row>
    <row r="67" spans="2:14" ht="25.5">
      <c r="B67" s="20">
        <v>32</v>
      </c>
      <c r="C67" s="21" t="s">
        <v>160</v>
      </c>
      <c r="D67" s="22" t="s">
        <v>161</v>
      </c>
      <c r="E67" s="22" t="s">
        <v>162</v>
      </c>
      <c r="F67" s="23">
        <v>0.55000000000000004</v>
      </c>
      <c r="G67" s="24">
        <v>1</v>
      </c>
      <c r="H67" s="25">
        <f>F67 * G67 * 13548.864</f>
        <v>7451.8752000000004</v>
      </c>
      <c r="I67" s="25">
        <f>F67 * G67 * 0</f>
        <v>0</v>
      </c>
      <c r="J67" s="25">
        <f>F67 * G67 * 0</f>
        <v>0</v>
      </c>
      <c r="K67" s="25">
        <f>F67 * G67 * 12898.518528</f>
        <v>7094.1851904000005</v>
      </c>
      <c r="L67" s="25">
        <f>F67 * G67 * 3076.079887</f>
        <v>1691.84393785</v>
      </c>
      <c r="M67" s="25">
        <f>F67 * G67 * 2709.7728</f>
        <v>1490.3750400000001</v>
      </c>
      <c r="N67" s="26">
        <f>SUM(H67:M67)</f>
        <v>17728.279368250001</v>
      </c>
    </row>
    <row r="68" spans="2:14" s="14" customFormat="1" ht="15">
      <c r="B68" s="15"/>
      <c r="C68" s="16" t="s">
        <v>163</v>
      </c>
      <c r="D68" s="33" t="s">
        <v>164</v>
      </c>
      <c r="E68" s="33"/>
      <c r="F68" s="33"/>
      <c r="G68" s="33"/>
      <c r="H68" s="33"/>
      <c r="I68" s="33"/>
      <c r="J68" s="33"/>
      <c r="K68" s="33"/>
      <c r="L68" s="33"/>
      <c r="M68" s="33"/>
      <c r="N68" s="33"/>
    </row>
    <row r="69" spans="2:14">
      <c r="B69" s="20">
        <v>33</v>
      </c>
      <c r="C69" s="21" t="s">
        <v>165</v>
      </c>
      <c r="D69" s="22" t="s">
        <v>166</v>
      </c>
      <c r="E69" s="22" t="s">
        <v>167</v>
      </c>
      <c r="F69" s="23">
        <v>10</v>
      </c>
      <c r="G69" s="24">
        <v>10</v>
      </c>
      <c r="H69" s="25">
        <f>F69 * G69 * 54.110776</f>
        <v>5411.0776000000005</v>
      </c>
      <c r="I69" s="25">
        <f>F69 * G69 * 273.5232</f>
        <v>27352.319999999996</v>
      </c>
      <c r="J69" s="25">
        <f>F69 * G69 * 0</f>
        <v>0</v>
      </c>
      <c r="K69" s="25">
        <f>F69 * G69 * 51.513458</f>
        <v>5151.3458000000001</v>
      </c>
      <c r="L69" s="25">
        <f>F69 * G69 * 41.141792</f>
        <v>4114.1792000000005</v>
      </c>
      <c r="M69" s="25">
        <f>F69 * G69 * 10.822155</f>
        <v>1082.2155</v>
      </c>
      <c r="N69" s="26">
        <f>SUM(H69:M69)</f>
        <v>43111.138099999996</v>
      </c>
    </row>
    <row r="70" spans="2:14" s="14" customFormat="1" ht="15">
      <c r="B70" s="15"/>
      <c r="C70" s="16" t="s">
        <v>168</v>
      </c>
      <c r="D70" s="33" t="s">
        <v>169</v>
      </c>
      <c r="E70" s="33"/>
      <c r="F70" s="33"/>
      <c r="G70" s="33"/>
      <c r="H70" s="33"/>
      <c r="I70" s="33"/>
      <c r="J70" s="33"/>
      <c r="K70" s="33"/>
      <c r="L70" s="33"/>
      <c r="M70" s="33"/>
      <c r="N70" s="33"/>
    </row>
    <row r="71" spans="2:14" s="17" customFormat="1" ht="12.75">
      <c r="B71" s="18"/>
      <c r="C71" s="19" t="s">
        <v>170</v>
      </c>
      <c r="D71" s="34" t="s">
        <v>171</v>
      </c>
      <c r="E71" s="34"/>
      <c r="F71" s="34"/>
      <c r="G71" s="34"/>
      <c r="H71" s="34"/>
      <c r="I71" s="34"/>
      <c r="J71" s="34"/>
      <c r="K71" s="34"/>
      <c r="L71" s="34"/>
      <c r="M71" s="34"/>
      <c r="N71" s="34"/>
    </row>
    <row r="72" spans="2:14">
      <c r="B72" s="20">
        <v>34</v>
      </c>
      <c r="C72" s="21" t="s">
        <v>172</v>
      </c>
      <c r="D72" s="22" t="s">
        <v>173</v>
      </c>
      <c r="E72" s="22" t="s">
        <v>174</v>
      </c>
      <c r="F72" s="23">
        <v>1</v>
      </c>
      <c r="G72" s="24">
        <v>1</v>
      </c>
      <c r="H72" s="25">
        <f>F72 * G72 * 22.79802</f>
        <v>22.798020000000001</v>
      </c>
      <c r="I72" s="25">
        <f>F72 * G72 * 1021.02457</f>
        <v>1021.02457</v>
      </c>
      <c r="J72" s="25">
        <f>F72 * G72 * 0</f>
        <v>0</v>
      </c>
      <c r="K72" s="25">
        <f>F72 * G72 * 21.703715</f>
        <v>21.703714999999999</v>
      </c>
      <c r="L72" s="25">
        <f>F72 * G72 * 112.894064</f>
        <v>112.894064</v>
      </c>
      <c r="M72" s="25">
        <f>F72 * G72 * 4.559604</f>
        <v>4.5596040000000002</v>
      </c>
      <c r="N72" s="26">
        <f>SUM(H72:M72)</f>
        <v>1182.9799730000002</v>
      </c>
    </row>
    <row r="73" spans="2:14" s="27" customFormat="1" ht="20.100000000000001" customHeight="1">
      <c r="B73" s="37" t="s">
        <v>175</v>
      </c>
      <c r="C73" s="37"/>
      <c r="D73" s="37"/>
      <c r="E73" s="37"/>
      <c r="F73" s="37"/>
      <c r="G73" s="37"/>
      <c r="H73" s="28">
        <f t="shared" ref="H73:N73" si="0">SUM(H4:H72)</f>
        <v>494431.69804456999</v>
      </c>
      <c r="I73" s="28">
        <f t="shared" si="0"/>
        <v>139236.49967087005</v>
      </c>
      <c r="J73" s="28">
        <f t="shared" si="0"/>
        <v>11569.00433304</v>
      </c>
      <c r="K73" s="28">
        <f t="shared" si="0"/>
        <v>470698.9768545797</v>
      </c>
      <c r="L73" s="28">
        <f t="shared" si="0"/>
        <v>128163.77583055991</v>
      </c>
      <c r="M73" s="28">
        <f t="shared" si="0"/>
        <v>98886.339589309995</v>
      </c>
      <c r="N73" s="29">
        <f t="shared" si="0"/>
        <v>1342986.2943229298</v>
      </c>
    </row>
  </sheetData>
  <mergeCells count="39">
    <mergeCell ref="D68:N68"/>
    <mergeCell ref="D70:N70"/>
    <mergeCell ref="D71:N71"/>
    <mergeCell ref="B73:G73"/>
    <mergeCell ref="D58:N58"/>
    <mergeCell ref="D59:N59"/>
    <mergeCell ref="D63:N63"/>
    <mergeCell ref="D65:N65"/>
    <mergeCell ref="D66:N66"/>
    <mergeCell ref="D46:N46"/>
    <mergeCell ref="D48:N48"/>
    <mergeCell ref="D51:N51"/>
    <mergeCell ref="D53:N53"/>
    <mergeCell ref="D54:N54"/>
    <mergeCell ref="D33:N33"/>
    <mergeCell ref="D36:N36"/>
    <mergeCell ref="D38:N38"/>
    <mergeCell ref="D41:N41"/>
    <mergeCell ref="D44:N44"/>
    <mergeCell ref="D25:N25"/>
    <mergeCell ref="D27:N27"/>
    <mergeCell ref="D29:N29"/>
    <mergeCell ref="D30:N30"/>
    <mergeCell ref="D31:N31"/>
    <mergeCell ref="D16:N16"/>
    <mergeCell ref="D17:N17"/>
    <mergeCell ref="D18:N18"/>
    <mergeCell ref="D22:N22"/>
    <mergeCell ref="D23:N23"/>
    <mergeCell ref="D9:N9"/>
    <mergeCell ref="D10:N10"/>
    <mergeCell ref="D11:N11"/>
    <mergeCell ref="D13:N13"/>
    <mergeCell ref="D14:N14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&amp;C&amp;KCCCCCC&amp;"Arial"Степанова 33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Степанова 33</dc:title>
  <dc:creator/>
  <cp:lastModifiedBy/>
  <cp:lastPrinted>2022-03-23T09:20:36Z</cp:lastPrinted>
  <dcterms:created xsi:type="dcterms:W3CDTF">2022-03-23T09:20:36Z</dcterms:created>
  <dcterms:modified xsi:type="dcterms:W3CDTF">2022-03-23T09:25:31Z</dcterms:modified>
</cp:coreProperties>
</file>